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4420" windowHeight="13640" tabRatio="500"/>
  </bookViews>
  <sheets>
    <sheet name="Retirement Planning Calculator" sheetId="1" r:id="rId1"/>
    <sheet name="Sheet1" sheetId="2" state="hidden" r:id="rId2"/>
    <sheet name="9 Scenarios" sheetId="3" r:id="rId3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11" i="1"/>
  <c r="I12" i="1"/>
  <c r="I15" i="1"/>
  <c r="I18" i="1"/>
  <c r="I7" i="1"/>
  <c r="P1" i="1"/>
  <c r="I23" i="1"/>
  <c r="I31" i="1"/>
  <c r="I35" i="1"/>
  <c r="I41" i="1"/>
  <c r="I42" i="1"/>
  <c r="G9" i="2"/>
  <c r="K9" i="2"/>
  <c r="G6" i="2"/>
  <c r="G14" i="2"/>
  <c r="G20" i="2"/>
  <c r="G26" i="2"/>
  <c r="F13" i="3"/>
  <c r="H7" i="2"/>
  <c r="H15" i="2"/>
  <c r="H21" i="2"/>
  <c r="H27" i="2"/>
  <c r="G14" i="3"/>
  <c r="G7" i="2"/>
  <c r="G15" i="2"/>
  <c r="G21" i="2"/>
  <c r="G27" i="2"/>
  <c r="F14" i="3"/>
  <c r="F7" i="2"/>
  <c r="F15" i="2"/>
  <c r="F21" i="2"/>
  <c r="F27" i="2"/>
  <c r="E14" i="3"/>
  <c r="H6" i="2"/>
  <c r="H14" i="2"/>
  <c r="H20" i="2"/>
  <c r="H26" i="2"/>
  <c r="G13" i="3"/>
  <c r="F6" i="2"/>
  <c r="F14" i="2"/>
  <c r="F20" i="2"/>
  <c r="F26" i="2"/>
  <c r="E13" i="3"/>
  <c r="H5" i="2"/>
  <c r="H13" i="2"/>
  <c r="H19" i="2"/>
  <c r="H25" i="2"/>
  <c r="G12" i="3"/>
  <c r="G5" i="2"/>
  <c r="G13" i="2"/>
  <c r="G19" i="2"/>
  <c r="G25" i="2"/>
  <c r="F12" i="3"/>
  <c r="F5" i="2"/>
  <c r="F13" i="2"/>
  <c r="F19" i="2"/>
  <c r="F25" i="2"/>
  <c r="E12" i="3"/>
  <c r="F6" i="3"/>
  <c r="I36" i="1"/>
  <c r="F5" i="3"/>
  <c r="I24" i="1"/>
  <c r="F4" i="3"/>
  <c r="A46" i="1"/>
  <c r="A47" i="1"/>
  <c r="A48" i="1"/>
  <c r="A49" i="1"/>
  <c r="Q1" i="1"/>
  <c r="R1" i="1"/>
  <c r="I38" i="1"/>
  <c r="I39" i="1"/>
  <c r="M41" i="1"/>
  <c r="M42" i="1"/>
  <c r="M43" i="1"/>
  <c r="M44" i="1"/>
  <c r="H23" i="1"/>
</calcChain>
</file>

<file path=xl/sharedStrings.xml><?xml version="1.0" encoding="utf-8"?>
<sst xmlns="http://schemas.openxmlformats.org/spreadsheetml/2006/main" count="114" uniqueCount="91">
  <si>
    <t>Comprehensive Retirement Fund Planning Calculator</t>
  </si>
  <si>
    <t>Discount factor for retirement years</t>
  </si>
  <si>
    <t>(Fill inputs in the yellow marked cells ONLY)</t>
  </si>
  <si>
    <t>Current age</t>
  </si>
  <si>
    <t>yrs</t>
  </si>
  <si>
    <t>Retirement age</t>
  </si>
  <si>
    <t>Life expectancy</t>
  </si>
  <si>
    <t>Number of years left for your retirement</t>
  </si>
  <si>
    <t>Number of retirement years to provide for</t>
  </si>
  <si>
    <t>Regular monthly expenses post retirement</t>
  </si>
  <si>
    <t>value as of today</t>
  </si>
  <si>
    <t>Monthly income expected post retirement</t>
  </si>
  <si>
    <t>pension, rental, etc.</t>
  </si>
  <si>
    <t>Monthly Expense to provide for in retirement years</t>
  </si>
  <si>
    <t>Annual Expenses to provide for in retirement years</t>
  </si>
  <si>
    <t>Annual expenses on Medical, Travel, Other expenses</t>
  </si>
  <si>
    <t>Total Annual Expenses to provide for in retirement years</t>
  </si>
  <si>
    <t>Inflation rate (pre-retirement)</t>
  </si>
  <si>
    <t>average</t>
  </si>
  <si>
    <t>Annual Income required immediately after retirement</t>
  </si>
  <si>
    <t>Post retirement investment return</t>
  </si>
  <si>
    <t>(post tax)</t>
  </si>
  <si>
    <t>Inflation rate (post-retirement)</t>
  </si>
  <si>
    <t>Total Retirement fund you would need at age</t>
  </si>
  <si>
    <t>Retirement fund required</t>
  </si>
  <si>
    <t>crores</t>
  </si>
  <si>
    <t>The average return you will earn on your investments till your retirement</t>
  </si>
  <si>
    <t>You will increase you investments every year by</t>
  </si>
  <si>
    <t>Investments you have already made for your retirement</t>
  </si>
  <si>
    <t>Rate of return expected on this investment</t>
  </si>
  <si>
    <t>Value of these investments at retirement</t>
  </si>
  <si>
    <t>Any other funds that you will receive on retirement</t>
  </si>
  <si>
    <t>Gratuity, Superannuation,PF, etc.</t>
  </si>
  <si>
    <t>Balance funds to be accumulated for retirement</t>
  </si>
  <si>
    <t>In the first year, you need to save</t>
  </si>
  <si>
    <t>In the first year, you need to save monthly</t>
  </si>
  <si>
    <t>Monthly Savings</t>
  </si>
  <si>
    <t>Year 2</t>
  </si>
  <si>
    <t>Year 3</t>
  </si>
  <si>
    <t>Year 4</t>
  </si>
  <si>
    <t>Notes</t>
  </si>
  <si>
    <t>Year 5</t>
  </si>
  <si>
    <t>Plan for a longer life expectancy.</t>
  </si>
  <si>
    <t>There are two inflation points to enter - one is average for pre-retirement period and the other for post- retirement period. They can be the same too.</t>
  </si>
  <si>
    <t>Don’t be aggressive with the assumption on returns either pre retirement or post retirement.</t>
  </si>
  <si>
    <t>The savings per month should be increased by the percentage specified.</t>
  </si>
  <si>
    <t>This calculator assumes that you will exhaust all your funds at the end of your retirement period.</t>
  </si>
  <si>
    <t>Rate of returns</t>
  </si>
  <si>
    <t>Increase</t>
  </si>
  <si>
    <t>in</t>
  </si>
  <si>
    <t>investments</t>
  </si>
  <si>
    <t>Retirement Funds to be built</t>
  </si>
  <si>
    <t>No. of years to retirment</t>
  </si>
  <si>
    <t>Discounting</t>
  </si>
  <si>
    <t>Factor</t>
  </si>
  <si>
    <t xml:space="preserve">Annual </t>
  </si>
  <si>
    <t>Savings</t>
  </si>
  <si>
    <t>Average rate of return (pre-retirement)</t>
  </si>
  <si>
    <t>Annual</t>
  </si>
  <si>
    <t>Monthly</t>
  </si>
  <si>
    <t xml:space="preserve"> Savings</t>
  </si>
  <si>
    <t>9 Scenarios for Retirement Savings</t>
  </si>
  <si>
    <t>DO NOT MAKE ANY CHANGES TO THIS SHEET</t>
  </si>
  <si>
    <t>Total funds to be saved for retirement</t>
  </si>
  <si>
    <t>Balance funds to be saved for retirement</t>
  </si>
  <si>
    <t>Time to Retire</t>
  </si>
  <si>
    <t>years</t>
  </si>
  <si>
    <t>Risk Profile</t>
  </si>
  <si>
    <t>Conservative</t>
  </si>
  <si>
    <t>Moderate</t>
  </si>
  <si>
    <t>Aggressive</t>
  </si>
  <si>
    <t>Investment Mix</t>
  </si>
  <si>
    <t>Equal Mix of Fixed Income &amp; Equity</t>
  </si>
  <si>
    <t>SAVINGS REQUIRED</t>
  </si>
  <si>
    <t>Expected Avg rate of return (pre-retirement)</t>
  </si>
  <si>
    <t>PER MONTH 1ST YEAR</t>
  </si>
  <si>
    <t>Increase in</t>
  </si>
  <si>
    <t>NOTES</t>
  </si>
  <si>
    <t>The 9 scenarios are a combination of Expected rate of return on investments and the rate of increase in savings at which you can add every year to the investments.</t>
  </si>
  <si>
    <t xml:space="preserve">Fixed Income predominantly represents EPF and PPF with some portion in Bank FDs, Post Office Schemes, etc. </t>
  </si>
  <si>
    <t>The savings scenarios are for the accumulation of the balance funds to be saved for retirement</t>
  </si>
  <si>
    <t>The expectations of returns can change over time. The current expectations are based on today's scenario.</t>
  </si>
  <si>
    <t>or</t>
  </si>
  <si>
    <t>More of Equity Investments</t>
  </si>
  <si>
    <t>More of Fixed income Investments</t>
  </si>
  <si>
    <t>Expected Avg. Annual</t>
  </si>
  <si>
    <t xml:space="preserve">Savings required for equal savings </t>
  </si>
  <si>
    <t>Savings required with 5% increment every year</t>
  </si>
  <si>
    <t>Savings required with 10% increment every year</t>
  </si>
  <si>
    <t>Click here to go to the  Retirement Planning Input sheet</t>
  </si>
  <si>
    <t>One Time lumpsum savings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</si>
</sst>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₹&quot;\ #,##0;[Red]\-&quot;₹&quot;\ #,##0"/>
    <numFmt numFmtId="8" formatCode="&quot;₹&quot;\ #,##0.00;[Red]\-&quot;₹&quot;\ #,##0.0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₹&quot;\ #,##0;[Red]&quot;₹&quot;\ #,##0"/>
  </numFmts>
  <fonts count="30" x14ac:knownFonts="1">
    <font>
      <sz val="12"/>
      <color theme="1"/>
      <name val="Calibri"/>
      <family val="2"/>
      <scheme val="minor"/>
    </font>
    <font>
      <sz val="12"/>
      <name val="Calibri"/>
      <charset val="134"/>
      <scheme val="minor"/>
    </font>
    <font>
      <b/>
      <sz val="20"/>
      <color theme="8" tint="-0.499984740745262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4"/>
      <name val="Calibri"/>
      <charset val="134"/>
      <scheme val="minor"/>
    </font>
    <font>
      <b/>
      <sz val="14"/>
      <name val="Calibri"/>
      <charset val="134"/>
      <scheme val="minor"/>
    </font>
    <font>
      <b/>
      <sz val="12"/>
      <name val="Calibri"/>
      <charset val="134"/>
      <scheme val="minor"/>
    </font>
    <font>
      <b/>
      <sz val="14"/>
      <color theme="0"/>
      <name val="Calibri"/>
      <charset val="134"/>
      <scheme val="minor"/>
    </font>
    <font>
      <sz val="14"/>
      <color theme="0"/>
      <name val="Calibri"/>
      <charset val="134"/>
      <scheme val="minor"/>
    </font>
    <font>
      <b/>
      <sz val="14"/>
      <color theme="8" tint="-0.49998474074526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20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i/>
      <sz val="14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2"/>
      <color theme="0"/>
      <name val="Calibri"/>
      <charset val="134"/>
      <scheme val="minor"/>
    </font>
    <font>
      <i/>
      <sz val="20"/>
      <color theme="1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u/>
      <sz val="14"/>
      <color theme="10"/>
      <name val="Calibri"/>
      <scheme val="minor"/>
    </font>
    <font>
      <u/>
      <sz val="12"/>
      <color theme="11"/>
      <name val="Calibri"/>
      <family val="2"/>
      <scheme val="minor"/>
    </font>
    <font>
      <i/>
      <sz val="16"/>
      <color theme="1"/>
      <name val="Calibri"/>
      <scheme val="minor"/>
    </font>
    <font>
      <i/>
      <sz val="1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 applyBorder="0"/>
    <xf numFmtId="9" fontId="2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8" fontId="5" fillId="3" borderId="0" xfId="0" applyNumberFormat="1" applyFont="1" applyFill="1"/>
    <xf numFmtId="0" fontId="5" fillId="3" borderId="0" xfId="0" applyFont="1" applyFill="1"/>
    <xf numFmtId="0" fontId="4" fillId="2" borderId="0" xfId="0" applyFont="1" applyFill="1"/>
    <xf numFmtId="8" fontId="5" fillId="2" borderId="0" xfId="0" applyNumberFormat="1" applyFont="1" applyFill="1"/>
    <xf numFmtId="0" fontId="5" fillId="2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6" fillId="5" borderId="1" xfId="0" applyFont="1" applyFill="1" applyBorder="1"/>
    <xf numFmtId="0" fontId="1" fillId="5" borderId="2" xfId="0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0" fontId="8" fillId="6" borderId="3" xfId="0" applyFont="1" applyFill="1" applyBorder="1"/>
    <xf numFmtId="0" fontId="6" fillId="5" borderId="4" xfId="0" applyFont="1" applyFill="1" applyBorder="1"/>
    <xf numFmtId="0" fontId="1" fillId="5" borderId="0" xfId="0" applyFont="1" applyFill="1"/>
    <xf numFmtId="9" fontId="9" fillId="7" borderId="0" xfId="0" applyNumberFormat="1" applyFont="1" applyFill="1" applyAlignment="1">
      <alignment horizontal="center"/>
    </xf>
    <xf numFmtId="9" fontId="9" fillId="7" borderId="5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9" fontId="9" fillId="7" borderId="0" xfId="0" applyNumberFormat="1" applyFont="1" applyFill="1"/>
    <xf numFmtId="166" fontId="4" fillId="2" borderId="0" xfId="3" applyNumberFormat="1" applyFont="1" applyFill="1"/>
    <xf numFmtId="166" fontId="4" fillId="5" borderId="0" xfId="3" applyNumberFormat="1" applyFont="1" applyFill="1"/>
    <xf numFmtId="166" fontId="4" fillId="2" borderId="5" xfId="3" applyNumberFormat="1" applyFont="1" applyFill="1" applyBorder="1"/>
    <xf numFmtId="166" fontId="4" fillId="5" borderId="5" xfId="3" applyNumberFormat="1" applyFont="1" applyFill="1" applyBorder="1"/>
    <xf numFmtId="0" fontId="7" fillId="6" borderId="6" xfId="0" applyFont="1" applyFill="1" applyBorder="1" applyAlignment="1">
      <alignment horizontal="center"/>
    </xf>
    <xf numFmtId="9" fontId="9" fillId="7" borderId="7" xfId="0" applyNumberFormat="1" applyFont="1" applyFill="1" applyBorder="1"/>
    <xf numFmtId="166" fontId="4" fillId="2" borderId="7" xfId="3" applyNumberFormat="1" applyFont="1" applyFill="1" applyBorder="1"/>
    <xf numFmtId="166" fontId="4" fillId="5" borderId="7" xfId="3" applyNumberFormat="1" applyFont="1" applyFill="1" applyBorder="1"/>
    <xf numFmtId="166" fontId="4" fillId="2" borderId="8" xfId="3" applyNumberFormat="1" applyFont="1" applyFill="1" applyBorder="1"/>
    <xf numFmtId="0" fontId="10" fillId="8" borderId="0" xfId="0" applyFont="1" applyFill="1"/>
    <xf numFmtId="0" fontId="11" fillId="0" borderId="0" xfId="0" applyFont="1"/>
    <xf numFmtId="9" fontId="11" fillId="0" borderId="0" xfId="0" applyNumberFormat="1" applyFont="1"/>
    <xf numFmtId="9" fontId="0" fillId="0" borderId="0" xfId="1" applyFont="1"/>
    <xf numFmtId="6" fontId="0" fillId="0" borderId="0" xfId="0" applyNumberFormat="1"/>
    <xf numFmtId="43" fontId="0" fillId="0" borderId="0" xfId="3" applyFont="1"/>
    <xf numFmtId="165" fontId="0" fillId="0" borderId="0" xfId="3" applyNumberFormat="1" applyFont="1"/>
    <xf numFmtId="0" fontId="11" fillId="0" borderId="0" xfId="0" applyFont="1" applyAlignment="1">
      <alignment horizontal="center"/>
    </xf>
    <xf numFmtId="0" fontId="29" fillId="2" borderId="0" xfId="0" applyFont="1" applyFill="1"/>
    <xf numFmtId="0" fontId="5" fillId="4" borderId="0" xfId="0" applyFont="1" applyFill="1" applyAlignment="1">
      <alignment vertical="center"/>
    </xf>
    <xf numFmtId="0" fontId="5" fillId="11" borderId="0" xfId="0" applyFont="1" applyFill="1"/>
    <xf numFmtId="0" fontId="1" fillId="11" borderId="0" xfId="0" applyFont="1" applyFill="1"/>
    <xf numFmtId="0" fontId="4" fillId="11" borderId="0" xfId="0" applyFont="1" applyFill="1" applyAlignment="1">
      <alignment horizontal="center"/>
    </xf>
    <xf numFmtId="0" fontId="14" fillId="2" borderId="0" xfId="2" applyFill="1"/>
    <xf numFmtId="0" fontId="13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14" fillId="2" borderId="0" xfId="2" applyFont="1" applyFill="1" applyProtection="1">
      <protection locked="0"/>
    </xf>
    <xf numFmtId="0" fontId="26" fillId="2" borderId="0" xfId="2" applyFont="1" applyFill="1" applyAlignment="1" applyProtection="1">
      <alignment horizontal="center"/>
      <protection locked="0"/>
    </xf>
    <xf numFmtId="0" fontId="22" fillId="5" borderId="0" xfId="0" applyFont="1" applyFill="1" applyProtection="1">
      <protection locked="0"/>
    </xf>
    <xf numFmtId="43" fontId="22" fillId="5" borderId="0" xfId="3" applyFont="1" applyFill="1" applyProtection="1">
      <protection locked="0"/>
    </xf>
    <xf numFmtId="10" fontId="22" fillId="5" borderId="0" xfId="1" applyNumberFormat="1" applyFont="1" applyFill="1" applyProtection="1">
      <protection locked="0"/>
    </xf>
    <xf numFmtId="0" fontId="15" fillId="9" borderId="0" xfId="0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Protection="1">
      <protection locked="0"/>
    </xf>
    <xf numFmtId="0" fontId="16" fillId="9" borderId="0" xfId="0" applyFont="1" applyFill="1" applyAlignment="1" applyProtection="1">
      <alignment horizontal="center"/>
      <protection locked="0"/>
    </xf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center"/>
      <protection locked="0"/>
    </xf>
    <xf numFmtId="166" fontId="16" fillId="2" borderId="0" xfId="0" applyNumberFormat="1" applyFont="1" applyFill="1" applyProtection="1">
      <protection locked="0"/>
    </xf>
    <xf numFmtId="6" fontId="16" fillId="9" borderId="0" xfId="3" applyNumberFormat="1" applyFont="1" applyFill="1" applyAlignment="1" applyProtection="1">
      <alignment horizontal="center"/>
      <protection locked="0"/>
    </xf>
    <xf numFmtId="0" fontId="18" fillId="2" borderId="0" xfId="0" applyFont="1" applyFill="1" applyProtection="1">
      <protection locked="0"/>
    </xf>
    <xf numFmtId="166" fontId="18" fillId="2" borderId="0" xfId="0" applyNumberFormat="1" applyFont="1" applyFill="1" applyProtection="1">
      <protection locked="0"/>
    </xf>
    <xf numFmtId="164" fontId="16" fillId="9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Protection="1">
      <protection locked="0"/>
    </xf>
    <xf numFmtId="166" fontId="19" fillId="2" borderId="0" xfId="0" applyNumberFormat="1" applyFont="1" applyFill="1" applyProtection="1">
      <protection locked="0"/>
    </xf>
    <xf numFmtId="0" fontId="12" fillId="2" borderId="0" xfId="0" applyFont="1" applyFill="1" applyProtection="1">
      <protection locked="0"/>
    </xf>
    <xf numFmtId="1" fontId="20" fillId="5" borderId="0" xfId="0" applyNumberFormat="1" applyFont="1" applyFill="1" applyAlignment="1" applyProtection="1">
      <alignment horizontal="left"/>
      <protection locked="0"/>
    </xf>
    <xf numFmtId="0" fontId="23" fillId="2" borderId="0" xfId="0" applyFont="1" applyFill="1" applyProtection="1">
      <protection locked="0"/>
    </xf>
    <xf numFmtId="9" fontId="16" fillId="9" borderId="0" xfId="0" applyNumberFormat="1" applyFont="1" applyFill="1" applyAlignment="1" applyProtection="1">
      <alignment horizontal="center"/>
      <protection locked="0"/>
    </xf>
    <xf numFmtId="9" fontId="18" fillId="9" borderId="0" xfId="0" applyNumberFormat="1" applyFont="1" applyFill="1" applyAlignment="1" applyProtection="1">
      <alignment horizontal="center"/>
      <protection locked="0"/>
    </xf>
    <xf numFmtId="6" fontId="18" fillId="9" borderId="0" xfId="0" applyNumberFormat="1" applyFont="1" applyFill="1" applyAlignment="1" applyProtection="1">
      <alignment horizontal="center"/>
      <protection locked="0"/>
    </xf>
    <xf numFmtId="8" fontId="0" fillId="2" borderId="0" xfId="0" applyNumberFormat="1" applyFont="1" applyFill="1" applyProtection="1">
      <protection locked="0"/>
    </xf>
    <xf numFmtId="0" fontId="20" fillId="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166" fontId="20" fillId="2" borderId="0" xfId="0" applyNumberFormat="1" applyFont="1" applyFill="1" applyProtection="1">
      <protection locked="0"/>
    </xf>
    <xf numFmtId="0" fontId="28" fillId="2" borderId="0" xfId="0" applyFont="1" applyFill="1" applyProtection="1">
      <protection locked="0"/>
    </xf>
    <xf numFmtId="0" fontId="7" fillId="8" borderId="0" xfId="0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alignment horizontal="center"/>
      <protection locked="0"/>
    </xf>
    <xf numFmtId="0" fontId="16" fillId="10" borderId="0" xfId="0" applyFont="1" applyFill="1" applyAlignment="1" applyProtection="1">
      <alignment horizontal="center"/>
    </xf>
    <xf numFmtId="6" fontId="18" fillId="10" borderId="0" xfId="0" applyNumberFormat="1" applyFont="1" applyFill="1" applyAlignment="1" applyProtection="1">
      <alignment horizontal="center"/>
    </xf>
    <xf numFmtId="6" fontId="19" fillId="10" borderId="0" xfId="3" applyNumberFormat="1" applyFont="1" applyFill="1" applyAlignment="1" applyProtection="1">
      <alignment horizontal="center"/>
    </xf>
    <xf numFmtId="6" fontId="19" fillId="10" borderId="0" xfId="0" applyNumberFormat="1" applyFont="1" applyFill="1" applyAlignment="1" applyProtection="1">
      <alignment horizontal="center"/>
    </xf>
    <xf numFmtId="8" fontId="19" fillId="10" borderId="0" xfId="0" applyNumberFormat="1" applyFont="1" applyFill="1" applyAlignment="1" applyProtection="1">
      <alignment horizontal="center"/>
    </xf>
    <xf numFmtId="6" fontId="20" fillId="10" borderId="0" xfId="0" applyNumberFormat="1" applyFont="1" applyFill="1" applyAlignment="1" applyProtection="1">
      <alignment horizontal="center"/>
    </xf>
    <xf numFmtId="8" fontId="20" fillId="10" borderId="0" xfId="0" applyNumberFormat="1" applyFont="1" applyFill="1" applyAlignment="1" applyProtection="1">
      <alignment horizontal="center"/>
    </xf>
    <xf numFmtId="6" fontId="24" fillId="6" borderId="0" xfId="0" applyNumberFormat="1" applyFont="1" applyFill="1" applyAlignment="1" applyProtection="1">
      <alignment horizontal="center"/>
    </xf>
    <xf numFmtId="8" fontId="24" fillId="6" borderId="0" xfId="0" applyNumberFormat="1" applyFont="1" applyFill="1" applyAlignment="1" applyProtection="1">
      <alignment horizontal="center"/>
    </xf>
    <xf numFmtId="6" fontId="11" fillId="5" borderId="0" xfId="0" applyNumberFormat="1" applyFont="1" applyFill="1" applyProtection="1"/>
    <xf numFmtId="0" fontId="14" fillId="0" borderId="0" xfId="2"/>
  </cellXfs>
  <cellStyles count="18">
    <cellStyle name="Comma" xfId="3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ovest.co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ovest.co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410632</xdr:colOff>
      <xdr:row>0</xdr:row>
      <xdr:rowOff>50800</xdr:rowOff>
    </xdr:from>
    <xdr:to>
      <xdr:col>8</xdr:col>
      <xdr:colOff>1257299</xdr:colOff>
      <xdr:row>1</xdr:row>
      <xdr:rowOff>114300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7832" y="50800"/>
          <a:ext cx="846667" cy="355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0</xdr:row>
      <xdr:rowOff>0</xdr:rowOff>
    </xdr:from>
    <xdr:to>
      <xdr:col>8</xdr:col>
      <xdr:colOff>46567</xdr:colOff>
      <xdr:row>1</xdr:row>
      <xdr:rowOff>165100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1300" y="0"/>
          <a:ext cx="846667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pane ySplit="1" topLeftCell="A2" activePane="bottomLeft" state="frozen"/>
      <selection pane="bottomLeft"/>
    </sheetView>
  </sheetViews>
  <sheetFormatPr baseColWidth="10" defaultColWidth="10.83203125" defaultRowHeight="15" x14ac:dyDescent="0"/>
  <cols>
    <col min="1" max="1" width="6.33203125" style="48" customWidth="1"/>
    <col min="2" max="5" width="10.83203125" style="48"/>
    <col min="6" max="7" width="11" style="48" customWidth="1"/>
    <col min="8" max="8" width="17.6640625" style="48" customWidth="1"/>
    <col min="9" max="9" width="22.5" style="55" customWidth="1"/>
    <col min="10" max="10" width="17.33203125" style="48" customWidth="1"/>
    <col min="11" max="12" width="10.83203125" style="48"/>
    <col min="13" max="13" width="11.33203125" style="48" bestFit="1" customWidth="1"/>
    <col min="14" max="14" width="7.6640625" style="48" hidden="1" customWidth="1"/>
    <col min="15" max="15" width="6" style="48" hidden="1" customWidth="1"/>
    <col min="16" max="18" width="7.6640625" style="48" hidden="1" customWidth="1"/>
    <col min="19" max="16384" width="10.83203125" style="48"/>
  </cols>
  <sheetData>
    <row r="1" spans="1:18" ht="23">
      <c r="A1" s="47" t="s">
        <v>0</v>
      </c>
      <c r="H1" s="49"/>
      <c r="I1" s="50"/>
      <c r="N1" s="51" t="s">
        <v>1</v>
      </c>
      <c r="O1" s="51"/>
      <c r="P1" s="52">
        <f>((1+I20)/(1+I21))-1</f>
        <v>0</v>
      </c>
      <c r="Q1" s="53">
        <f>IF(I27=I26,I27+0.001%,I27)</f>
        <v>0.05</v>
      </c>
      <c r="R1" s="51">
        <f>((1+I26)^I6-(1+Q1)^I6)/(I26-Q1)</f>
        <v>41.966399800085746</v>
      </c>
    </row>
    <row r="2" spans="1:18">
      <c r="E2" s="54" t="s">
        <v>2</v>
      </c>
      <c r="F2" s="54"/>
      <c r="G2" s="54"/>
    </row>
    <row r="3" spans="1:18" ht="18">
      <c r="A3" s="56">
        <v>1</v>
      </c>
      <c r="B3" s="56" t="s">
        <v>3</v>
      </c>
      <c r="C3" s="56"/>
      <c r="D3" s="56"/>
      <c r="E3" s="56"/>
      <c r="F3" s="56"/>
      <c r="G3" s="56"/>
      <c r="H3" s="56"/>
      <c r="I3" s="57">
        <v>35</v>
      </c>
      <c r="J3" s="48" t="s">
        <v>4</v>
      </c>
    </row>
    <row r="4" spans="1:18" ht="18">
      <c r="A4" s="56">
        <v>2</v>
      </c>
      <c r="B4" s="56" t="s">
        <v>5</v>
      </c>
      <c r="C4" s="56"/>
      <c r="D4" s="56"/>
      <c r="E4" s="56"/>
      <c r="F4" s="56"/>
      <c r="G4" s="56"/>
      <c r="H4" s="56"/>
      <c r="I4" s="57">
        <v>50</v>
      </c>
      <c r="J4" s="48" t="s">
        <v>4</v>
      </c>
    </row>
    <row r="5" spans="1:18" ht="18">
      <c r="A5" s="56">
        <v>3</v>
      </c>
      <c r="B5" s="56" t="s">
        <v>6</v>
      </c>
      <c r="C5" s="56"/>
      <c r="D5" s="56"/>
      <c r="E5" s="56"/>
      <c r="F5" s="58"/>
      <c r="G5" s="58"/>
      <c r="H5" s="56"/>
      <c r="I5" s="57">
        <v>85</v>
      </c>
      <c r="J5" s="48" t="s">
        <v>4</v>
      </c>
    </row>
    <row r="6" spans="1:18" ht="18">
      <c r="A6" s="56">
        <v>4</v>
      </c>
      <c r="B6" s="56" t="s">
        <v>7</v>
      </c>
      <c r="C6" s="56"/>
      <c r="D6" s="56"/>
      <c r="E6" s="56"/>
      <c r="F6" s="56"/>
      <c r="G6" s="56"/>
      <c r="H6" s="56"/>
      <c r="I6" s="81">
        <f>I4-I3</f>
        <v>15</v>
      </c>
      <c r="J6" s="59"/>
    </row>
    <row r="7" spans="1:18" ht="18">
      <c r="A7" s="56">
        <v>5</v>
      </c>
      <c r="B7" s="56" t="s">
        <v>8</v>
      </c>
      <c r="C7" s="56"/>
      <c r="D7" s="56"/>
      <c r="E7" s="56"/>
      <c r="F7" s="56"/>
      <c r="G7" s="56"/>
      <c r="H7" s="56"/>
      <c r="I7" s="81">
        <f>I5-I4</f>
        <v>35</v>
      </c>
      <c r="J7" s="59"/>
    </row>
    <row r="8" spans="1:18" ht="18">
      <c r="A8" s="56"/>
      <c r="B8" s="56"/>
      <c r="C8" s="56"/>
      <c r="D8" s="56"/>
      <c r="E8" s="56"/>
      <c r="F8" s="56"/>
      <c r="G8" s="56"/>
      <c r="H8" s="56"/>
      <c r="I8" s="60"/>
    </row>
    <row r="9" spans="1:18" ht="18">
      <c r="A9" s="56">
        <v>6</v>
      </c>
      <c r="B9" s="56" t="s">
        <v>9</v>
      </c>
      <c r="C9" s="56"/>
      <c r="D9" s="56"/>
      <c r="E9" s="56"/>
      <c r="F9" s="61"/>
      <c r="G9" s="61"/>
      <c r="H9" s="56"/>
      <c r="I9" s="62">
        <v>50000</v>
      </c>
      <c r="J9" s="59" t="s">
        <v>10</v>
      </c>
    </row>
    <row r="10" spans="1:18" ht="18">
      <c r="A10" s="56">
        <v>7</v>
      </c>
      <c r="B10" s="56" t="s">
        <v>11</v>
      </c>
      <c r="C10" s="56"/>
      <c r="D10" s="56"/>
      <c r="E10" s="56"/>
      <c r="F10" s="61"/>
      <c r="G10" s="61"/>
      <c r="H10" s="56"/>
      <c r="I10" s="62">
        <v>0</v>
      </c>
      <c r="J10" s="59" t="s">
        <v>12</v>
      </c>
    </row>
    <row r="11" spans="1:18" ht="18">
      <c r="A11" s="63">
        <v>8</v>
      </c>
      <c r="B11" s="63" t="s">
        <v>13</v>
      </c>
      <c r="C11" s="63"/>
      <c r="D11" s="63"/>
      <c r="E11" s="63"/>
      <c r="F11" s="64"/>
      <c r="G11" s="64"/>
      <c r="H11" s="63"/>
      <c r="I11" s="82">
        <f>I9-I10</f>
        <v>50000</v>
      </c>
      <c r="J11" s="59"/>
    </row>
    <row r="12" spans="1:18" ht="18">
      <c r="A12" s="63">
        <v>9</v>
      </c>
      <c r="B12" s="63" t="s">
        <v>14</v>
      </c>
      <c r="C12" s="63"/>
      <c r="D12" s="63"/>
      <c r="E12" s="63"/>
      <c r="F12" s="64"/>
      <c r="G12" s="64"/>
      <c r="H12" s="63"/>
      <c r="I12" s="82">
        <f>I11*12</f>
        <v>600000</v>
      </c>
    </row>
    <row r="13" spans="1:18" ht="18">
      <c r="A13" s="56"/>
      <c r="B13" s="56"/>
      <c r="C13" s="56"/>
      <c r="D13" s="56"/>
      <c r="E13" s="56"/>
      <c r="F13" s="56"/>
      <c r="G13" s="56"/>
      <c r="H13" s="56"/>
      <c r="I13" s="60"/>
    </row>
    <row r="14" spans="1:18" ht="18">
      <c r="A14" s="56">
        <v>10</v>
      </c>
      <c r="B14" s="56" t="s">
        <v>15</v>
      </c>
      <c r="C14" s="56"/>
      <c r="D14" s="56"/>
      <c r="E14" s="56"/>
      <c r="F14" s="61"/>
      <c r="G14" s="61"/>
      <c r="H14" s="56"/>
      <c r="I14" s="62">
        <v>200000</v>
      </c>
      <c r="J14" s="59"/>
    </row>
    <row r="15" spans="1:18" ht="18">
      <c r="A15" s="63">
        <v>11</v>
      </c>
      <c r="B15" s="63" t="s">
        <v>16</v>
      </c>
      <c r="C15" s="63"/>
      <c r="D15" s="63"/>
      <c r="E15" s="63"/>
      <c r="F15" s="64"/>
      <c r="G15" s="64"/>
      <c r="H15" s="63"/>
      <c r="I15" s="82">
        <f>I12+I14</f>
        <v>800000</v>
      </c>
    </row>
    <row r="16" spans="1:18" ht="18">
      <c r="A16" s="56"/>
      <c r="B16" s="56"/>
      <c r="C16" s="56"/>
      <c r="D16" s="56"/>
      <c r="E16" s="56"/>
      <c r="F16" s="56"/>
      <c r="G16" s="56"/>
      <c r="H16" s="56"/>
      <c r="I16" s="60"/>
    </row>
    <row r="17" spans="1:10" ht="18">
      <c r="A17" s="56">
        <v>12</v>
      </c>
      <c r="B17" s="56" t="s">
        <v>17</v>
      </c>
      <c r="C17" s="56"/>
      <c r="D17" s="56"/>
      <c r="E17" s="56"/>
      <c r="F17" s="58"/>
      <c r="G17" s="58"/>
      <c r="H17" s="56"/>
      <c r="I17" s="65">
        <v>0.09</v>
      </c>
      <c r="J17" s="59" t="s">
        <v>18</v>
      </c>
    </row>
    <row r="18" spans="1:10" s="68" customFormat="1" ht="25">
      <c r="A18" s="66">
        <v>13</v>
      </c>
      <c r="B18" s="66" t="s">
        <v>19</v>
      </c>
      <c r="C18" s="66"/>
      <c r="D18" s="66"/>
      <c r="E18" s="66"/>
      <c r="F18" s="67"/>
      <c r="G18" s="67"/>
      <c r="H18" s="66"/>
      <c r="I18" s="83">
        <f>I15*(1+I17)^I6</f>
        <v>2913985.9677500185</v>
      </c>
    </row>
    <row r="19" spans="1:10" ht="18">
      <c r="A19" s="56"/>
      <c r="B19" s="56"/>
      <c r="C19" s="56"/>
      <c r="D19" s="56"/>
      <c r="E19" s="56"/>
      <c r="F19" s="56"/>
      <c r="G19" s="56"/>
      <c r="H19" s="56"/>
      <c r="I19" s="60"/>
    </row>
    <row r="20" spans="1:10" ht="18">
      <c r="A20" s="56">
        <v>14</v>
      </c>
      <c r="B20" s="56" t="s">
        <v>20</v>
      </c>
      <c r="C20" s="56"/>
      <c r="D20" s="56"/>
      <c r="E20" s="56"/>
      <c r="F20" s="58"/>
      <c r="G20" s="58"/>
      <c r="H20" s="56"/>
      <c r="I20" s="65">
        <v>0.08</v>
      </c>
      <c r="J20" s="59" t="s">
        <v>21</v>
      </c>
    </row>
    <row r="21" spans="1:10" ht="18">
      <c r="A21" s="56">
        <v>15</v>
      </c>
      <c r="B21" s="56" t="s">
        <v>22</v>
      </c>
      <c r="C21" s="56"/>
      <c r="D21" s="56"/>
      <c r="E21" s="56"/>
      <c r="F21" s="58"/>
      <c r="G21" s="58"/>
      <c r="H21" s="56"/>
      <c r="I21" s="65">
        <v>0.08</v>
      </c>
      <c r="J21" s="59" t="s">
        <v>18</v>
      </c>
    </row>
    <row r="22" spans="1:10" ht="18">
      <c r="A22" s="56"/>
      <c r="B22" s="56"/>
      <c r="C22" s="56"/>
      <c r="D22" s="56"/>
      <c r="E22" s="56"/>
      <c r="F22" s="56"/>
      <c r="G22" s="56"/>
      <c r="H22" s="56"/>
      <c r="I22" s="60"/>
    </row>
    <row r="23" spans="1:10" s="68" customFormat="1" ht="25">
      <c r="A23" s="66">
        <v>16</v>
      </c>
      <c r="B23" s="66" t="s">
        <v>23</v>
      </c>
      <c r="C23" s="66"/>
      <c r="D23" s="66"/>
      <c r="E23" s="66"/>
      <c r="H23" s="69">
        <f>I4</f>
        <v>50</v>
      </c>
      <c r="I23" s="84">
        <f>PV(P1,I7,-I18,)</f>
        <v>101989508.87125064</v>
      </c>
    </row>
    <row r="24" spans="1:10" s="68" customFormat="1" ht="25">
      <c r="A24" s="66">
        <v>17</v>
      </c>
      <c r="B24" s="66" t="s">
        <v>24</v>
      </c>
      <c r="C24" s="66"/>
      <c r="D24" s="66"/>
      <c r="E24" s="66"/>
      <c r="H24" s="66"/>
      <c r="I24" s="85">
        <f>I23/10^7</f>
        <v>10.198950887125065</v>
      </c>
      <c r="J24" s="70" t="s">
        <v>25</v>
      </c>
    </row>
    <row r="25" spans="1:10" ht="18">
      <c r="A25" s="56"/>
      <c r="B25" s="56"/>
      <c r="C25" s="56"/>
      <c r="D25" s="56"/>
      <c r="E25" s="56"/>
      <c r="F25" s="56"/>
      <c r="G25" s="56"/>
      <c r="H25" s="56"/>
      <c r="I25" s="60"/>
    </row>
    <row r="26" spans="1:10" ht="18">
      <c r="A26" s="56">
        <v>18</v>
      </c>
      <c r="B26" s="56" t="s">
        <v>26</v>
      </c>
      <c r="C26" s="56"/>
      <c r="D26" s="56"/>
      <c r="E26" s="56"/>
      <c r="F26" s="58"/>
      <c r="G26" s="58"/>
      <c r="H26" s="56"/>
      <c r="I26" s="71">
        <v>0.1</v>
      </c>
      <c r="J26" s="59" t="s">
        <v>21</v>
      </c>
    </row>
    <row r="27" spans="1:10" ht="18">
      <c r="A27" s="63">
        <v>19</v>
      </c>
      <c r="B27" s="63" t="s">
        <v>27</v>
      </c>
      <c r="C27" s="56"/>
      <c r="D27" s="56"/>
      <c r="E27" s="56"/>
      <c r="F27" s="56"/>
      <c r="G27" s="56"/>
      <c r="H27" s="56"/>
      <c r="I27" s="72">
        <v>0.05</v>
      </c>
      <c r="J27" s="59"/>
    </row>
    <row r="28" spans="1:10" ht="18">
      <c r="A28" s="56"/>
      <c r="B28" s="56"/>
      <c r="C28" s="56"/>
      <c r="D28" s="56"/>
      <c r="E28" s="56"/>
      <c r="F28" s="56"/>
      <c r="G28" s="56"/>
      <c r="H28" s="56"/>
      <c r="I28" s="60"/>
    </row>
    <row r="29" spans="1:10" ht="18">
      <c r="A29" s="63">
        <v>20</v>
      </c>
      <c r="B29" s="63" t="s">
        <v>28</v>
      </c>
      <c r="C29" s="63"/>
      <c r="D29" s="63"/>
      <c r="E29" s="63"/>
      <c r="F29" s="64"/>
      <c r="G29" s="64"/>
      <c r="H29" s="63"/>
      <c r="I29" s="73">
        <v>1000000</v>
      </c>
      <c r="J29" s="74"/>
    </row>
    <row r="30" spans="1:10" ht="18">
      <c r="A30" s="56">
        <v>21</v>
      </c>
      <c r="B30" s="56" t="s">
        <v>29</v>
      </c>
      <c r="C30" s="56"/>
      <c r="D30" s="56"/>
      <c r="E30" s="56"/>
      <c r="F30" s="58"/>
      <c r="G30" s="58"/>
      <c r="H30" s="56"/>
      <c r="I30" s="65">
        <v>0.1</v>
      </c>
      <c r="J30" s="59" t="s">
        <v>21</v>
      </c>
    </row>
    <row r="31" spans="1:10" ht="18">
      <c r="A31" s="63">
        <v>22</v>
      </c>
      <c r="B31" s="63" t="s">
        <v>30</v>
      </c>
      <c r="C31" s="63"/>
      <c r="D31" s="63"/>
      <c r="E31" s="63"/>
      <c r="F31" s="64"/>
      <c r="G31" s="64"/>
      <c r="H31" s="63"/>
      <c r="I31" s="82">
        <f>FV(I30,I6,,-I29,)</f>
        <v>4177248.1694156555</v>
      </c>
    </row>
    <row r="32" spans="1:10" ht="18">
      <c r="A32" s="56"/>
      <c r="B32" s="56"/>
      <c r="C32" s="56"/>
      <c r="D32" s="56"/>
      <c r="E32" s="56"/>
      <c r="F32" s="56"/>
      <c r="G32" s="56"/>
      <c r="H32" s="56"/>
      <c r="I32" s="60"/>
    </row>
    <row r="33" spans="1:13" ht="18">
      <c r="A33" s="56">
        <v>23</v>
      </c>
      <c r="B33" s="56" t="s">
        <v>31</v>
      </c>
      <c r="C33" s="56"/>
      <c r="D33" s="56"/>
      <c r="E33" s="56"/>
      <c r="F33" s="56"/>
      <c r="G33" s="56"/>
      <c r="H33" s="56"/>
      <c r="I33" s="73">
        <v>0</v>
      </c>
      <c r="J33" s="74" t="s">
        <v>32</v>
      </c>
    </row>
    <row r="34" spans="1:13" ht="18">
      <c r="A34" s="56"/>
      <c r="B34" s="56"/>
      <c r="C34" s="56"/>
      <c r="D34" s="56"/>
      <c r="E34" s="56"/>
      <c r="F34" s="56"/>
      <c r="G34" s="56"/>
      <c r="H34" s="56"/>
      <c r="I34" s="60"/>
    </row>
    <row r="35" spans="1:13" s="68" customFormat="1" ht="25">
      <c r="A35" s="75">
        <v>24</v>
      </c>
      <c r="B35" s="75" t="s">
        <v>33</v>
      </c>
      <c r="C35" s="76"/>
      <c r="D35" s="76"/>
      <c r="E35" s="76"/>
      <c r="F35" s="77"/>
      <c r="G35" s="77"/>
      <c r="H35" s="76"/>
      <c r="I35" s="86">
        <f>I23-I33-I31</f>
        <v>97812260.701834992</v>
      </c>
      <c r="J35" s="76"/>
    </row>
    <row r="36" spans="1:13" s="68" customFormat="1" ht="25">
      <c r="A36" s="75">
        <v>25</v>
      </c>
      <c r="B36" s="75" t="s">
        <v>33</v>
      </c>
      <c r="C36" s="75"/>
      <c r="D36" s="75"/>
      <c r="E36" s="75"/>
      <c r="F36" s="76"/>
      <c r="G36" s="76"/>
      <c r="H36" s="75"/>
      <c r="I36" s="87">
        <f>I35/10^7</f>
        <v>9.7812260701834983</v>
      </c>
      <c r="J36" s="78" t="s">
        <v>25</v>
      </c>
    </row>
    <row r="37" spans="1:13" ht="18">
      <c r="A37" s="63"/>
      <c r="B37" s="63"/>
      <c r="C37" s="63"/>
      <c r="D37" s="63"/>
      <c r="E37" s="63"/>
      <c r="F37" s="63"/>
      <c r="G37" s="63"/>
      <c r="H37" s="63"/>
      <c r="I37" s="60"/>
    </row>
    <row r="38" spans="1:13" ht="20">
      <c r="A38" s="75">
        <v>26</v>
      </c>
      <c r="B38" s="75" t="s">
        <v>34</v>
      </c>
      <c r="C38" s="75"/>
      <c r="D38" s="75"/>
      <c r="E38" s="75"/>
      <c r="F38" s="77"/>
      <c r="G38" s="77"/>
      <c r="H38" s="75"/>
      <c r="I38" s="88">
        <f>I35/R1</f>
        <v>2330727.9434924303</v>
      </c>
      <c r="J38" s="59"/>
    </row>
    <row r="39" spans="1:13" ht="20">
      <c r="A39" s="76">
        <v>27</v>
      </c>
      <c r="B39" s="76" t="s">
        <v>35</v>
      </c>
      <c r="C39" s="76"/>
      <c r="D39" s="76"/>
      <c r="E39" s="76"/>
      <c r="F39" s="77"/>
      <c r="G39" s="77"/>
      <c r="H39" s="76"/>
      <c r="I39" s="88">
        <f>PMT(I26/12,12,,-I38,)</f>
        <v>185485.28218147575</v>
      </c>
      <c r="J39" s="59"/>
    </row>
    <row r="40" spans="1:13" ht="18">
      <c r="L40" s="79" t="s">
        <v>36</v>
      </c>
      <c r="M40" s="79"/>
    </row>
    <row r="41" spans="1:13" ht="20">
      <c r="A41" s="75">
        <v>28</v>
      </c>
      <c r="B41" s="75" t="s">
        <v>90</v>
      </c>
      <c r="C41" s="75"/>
      <c r="D41" s="75"/>
      <c r="E41" s="75"/>
      <c r="F41" s="77"/>
      <c r="G41" s="77"/>
      <c r="H41" s="75"/>
      <c r="I41" s="88">
        <f>PV(I26,I6,,-I35,)</f>
        <v>23415477.542843163</v>
      </c>
      <c r="L41" s="80" t="s">
        <v>37</v>
      </c>
      <c r="M41" s="90">
        <f>I39*(1+I$27)</f>
        <v>194759.54629054954</v>
      </c>
    </row>
    <row r="42" spans="1:13" ht="20">
      <c r="A42" s="75">
        <v>29</v>
      </c>
      <c r="B42" s="75" t="s">
        <v>90</v>
      </c>
      <c r="C42" s="76"/>
      <c r="D42" s="76"/>
      <c r="E42" s="76"/>
      <c r="F42" s="77"/>
      <c r="G42" s="77"/>
      <c r="H42" s="76" t="s">
        <v>82</v>
      </c>
      <c r="I42" s="89">
        <f>I41/10^7</f>
        <v>2.3415477542843162</v>
      </c>
      <c r="J42" s="78" t="s">
        <v>25</v>
      </c>
      <c r="L42" s="80" t="s">
        <v>38</v>
      </c>
      <c r="M42" s="90">
        <f t="shared" ref="M42:M44" si="0">M41*(1+I$27)</f>
        <v>204497.52360507703</v>
      </c>
    </row>
    <row r="43" spans="1:13">
      <c r="L43" s="80" t="s">
        <v>39</v>
      </c>
      <c r="M43" s="90">
        <f t="shared" si="0"/>
        <v>214722.3997853309</v>
      </c>
    </row>
    <row r="44" spans="1:13" ht="18">
      <c r="A44" s="63" t="s">
        <v>40</v>
      </c>
      <c r="B44" s="56"/>
      <c r="L44" s="80" t="s">
        <v>41</v>
      </c>
      <c r="M44" s="90">
        <f t="shared" si="0"/>
        <v>225458.51977459746</v>
      </c>
    </row>
    <row r="45" spans="1:13" ht="18">
      <c r="A45" s="63">
        <v>1</v>
      </c>
      <c r="B45" s="56" t="s">
        <v>42</v>
      </c>
    </row>
    <row r="46" spans="1:13" ht="18">
      <c r="A46" s="63">
        <f>A45+1</f>
        <v>2</v>
      </c>
      <c r="B46" s="56" t="s">
        <v>43</v>
      </c>
    </row>
    <row r="47" spans="1:13" ht="18">
      <c r="A47" s="63">
        <f t="shared" ref="A47:A49" si="1">A46+1</f>
        <v>3</v>
      </c>
      <c r="B47" s="56" t="s">
        <v>44</v>
      </c>
    </row>
    <row r="48" spans="1:13" ht="18">
      <c r="A48" s="63">
        <f t="shared" si="1"/>
        <v>4</v>
      </c>
      <c r="B48" s="56" t="s">
        <v>45</v>
      </c>
    </row>
    <row r="49" spans="1:2" ht="18">
      <c r="A49" s="63">
        <f t="shared" si="1"/>
        <v>5</v>
      </c>
      <c r="B49" s="56" t="s">
        <v>46</v>
      </c>
    </row>
    <row r="51" spans="1:2">
      <c r="A51" s="59"/>
    </row>
  </sheetData>
  <sheetProtection password="DE6B" sheet="1" objects="1" scenarios="1"/>
  <mergeCells count="1">
    <mergeCell ref="L40:M40"/>
  </mergeCells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workbookViewId="0">
      <selection activeCell="D24" sqref="D24"/>
    </sheetView>
  </sheetViews>
  <sheetFormatPr baseColWidth="10" defaultColWidth="7.6640625" defaultRowHeight="15" x14ac:dyDescent="0"/>
  <cols>
    <col min="6" max="6" width="13.33203125" customWidth="1"/>
    <col min="7" max="7" width="14" customWidth="1"/>
    <col min="8" max="8" width="12.1640625" customWidth="1"/>
  </cols>
  <sheetData>
    <row r="3" spans="2:11">
      <c r="G3" s="34" t="s">
        <v>47</v>
      </c>
    </row>
    <row r="4" spans="2:11">
      <c r="F4" s="35">
        <v>0.08</v>
      </c>
      <c r="G4" s="35">
        <v>0.1</v>
      </c>
      <c r="H4" s="35">
        <v>0.12</v>
      </c>
    </row>
    <row r="5" spans="2:11">
      <c r="D5" s="34" t="s">
        <v>48</v>
      </c>
      <c r="E5" s="35">
        <v>0</v>
      </c>
      <c r="F5" s="36">
        <f>IF(E5=F4,E5+0.001%,E5)</f>
        <v>0</v>
      </c>
      <c r="G5" s="36">
        <f>IF(E5=G4,E5+0.001%,E5)</f>
        <v>0</v>
      </c>
      <c r="H5" s="36">
        <f>IF(E5=H4,E5+0.001%,E5)</f>
        <v>0</v>
      </c>
    </row>
    <row r="6" spans="2:11">
      <c r="D6" s="34" t="s">
        <v>49</v>
      </c>
      <c r="E6" s="35">
        <v>0.05</v>
      </c>
      <c r="F6" s="36">
        <f>IF(E6=F4,E6+0.001%,E6)</f>
        <v>0.05</v>
      </c>
      <c r="G6" s="36">
        <f>IF(E6=G4,E6+0.001%,E6)</f>
        <v>0.05</v>
      </c>
      <c r="H6" s="36">
        <f>IF(E6=H4,E6+0.001%,E6)</f>
        <v>0.05</v>
      </c>
    </row>
    <row r="7" spans="2:11">
      <c r="D7" s="34" t="s">
        <v>50</v>
      </c>
      <c r="E7" s="35">
        <v>0.1</v>
      </c>
      <c r="F7" s="36">
        <f>IF(E7=F4,E7+0.001%,E7)</f>
        <v>0.1</v>
      </c>
      <c r="G7" s="36">
        <f>IF(E7=G4,E7+0.001%,E7)</f>
        <v>0.10001</v>
      </c>
      <c r="H7" s="36">
        <f>IF(E7=H4,E7+0.001%,E7)</f>
        <v>0.1</v>
      </c>
    </row>
    <row r="9" spans="2:11">
      <c r="D9" t="s">
        <v>51</v>
      </c>
      <c r="G9" s="37">
        <f>'Retirement Planning Calculator'!I35</f>
        <v>97812260.701834992</v>
      </c>
      <c r="I9" t="s">
        <v>52</v>
      </c>
      <c r="K9">
        <f>'Retirement Planning Calculator'!I6</f>
        <v>15</v>
      </c>
    </row>
    <row r="11" spans="2:11">
      <c r="G11" s="34" t="s">
        <v>47</v>
      </c>
    </row>
    <row r="12" spans="2:11">
      <c r="F12" s="35">
        <v>0.08</v>
      </c>
      <c r="G12" s="35">
        <v>0.1</v>
      </c>
      <c r="H12" s="35">
        <v>0.12</v>
      </c>
    </row>
    <row r="13" spans="2:11">
      <c r="B13" t="s">
        <v>53</v>
      </c>
      <c r="D13" s="34" t="s">
        <v>48</v>
      </c>
      <c r="E13" s="35">
        <v>0</v>
      </c>
      <c r="F13" s="38">
        <f t="shared" ref="F13:H13" si="0">((1+F12)^$K$9-(1+F5)^$K$9)/(F12-F5)</f>
        <v>27.152113927478393</v>
      </c>
      <c r="G13" s="38">
        <f t="shared" si="0"/>
        <v>31.772481694156554</v>
      </c>
      <c r="H13" s="38">
        <f t="shared" si="0"/>
        <v>37.279714660475356</v>
      </c>
    </row>
    <row r="14" spans="2:11">
      <c r="B14" t="s">
        <v>54</v>
      </c>
      <c r="D14" s="34" t="s">
        <v>49</v>
      </c>
      <c r="E14" s="35">
        <v>0.05</v>
      </c>
      <c r="F14" s="38">
        <f t="shared" ref="F14:H14" si="1">((1+F12)^$K$9-(1+F6)^$K$9)/(F12-F6)</f>
        <v>36.441364492896788</v>
      </c>
      <c r="G14" s="38">
        <f t="shared" si="1"/>
        <v>41.966399800085746</v>
      </c>
      <c r="H14" s="38">
        <f t="shared" si="1"/>
        <v>48.494822569223935</v>
      </c>
    </row>
    <row r="15" spans="2:11">
      <c r="D15" s="34" t="s">
        <v>50</v>
      </c>
      <c r="E15" s="35">
        <v>0.1</v>
      </c>
      <c r="F15" s="38">
        <f t="shared" ref="F15:H15" si="2">((1+F12)^$K$9-(1+F7)^$K$9)/(F12-F7)</f>
        <v>50.253952760869183</v>
      </c>
      <c r="G15" s="38">
        <f t="shared" si="2"/>
        <v>56.96610006442603</v>
      </c>
      <c r="H15" s="38">
        <f t="shared" si="2"/>
        <v>64.815879492069399</v>
      </c>
    </row>
    <row r="17" spans="2:8">
      <c r="G17" s="34" t="s">
        <v>47</v>
      </c>
    </row>
    <row r="18" spans="2:8">
      <c r="F18" s="35">
        <v>0.08</v>
      </c>
      <c r="G18" s="35">
        <v>0.1</v>
      </c>
      <c r="H18" s="35">
        <v>0.12</v>
      </c>
    </row>
    <row r="19" spans="2:8">
      <c r="B19" t="s">
        <v>55</v>
      </c>
      <c r="D19" s="34" t="s">
        <v>48</v>
      </c>
      <c r="E19" s="35">
        <v>0</v>
      </c>
      <c r="F19" s="39">
        <f>$G$9/F13</f>
        <v>3602381.0508119352</v>
      </c>
      <c r="G19" s="39">
        <f t="shared" ref="G19:H19" si="3">$G$9/G13</f>
        <v>3078521.2701790356</v>
      </c>
      <c r="H19" s="39">
        <f t="shared" si="3"/>
        <v>2623739.5214169212</v>
      </c>
    </row>
    <row r="20" spans="2:8">
      <c r="B20" t="s">
        <v>56</v>
      </c>
      <c r="D20" s="34" t="s">
        <v>49</v>
      </c>
      <c r="E20" s="35">
        <v>0.05</v>
      </c>
      <c r="F20" s="39">
        <f t="shared" ref="F20:H20" si="4">$G$9/F14</f>
        <v>2684099.8426637049</v>
      </c>
      <c r="G20" s="39">
        <f t="shared" si="4"/>
        <v>2330727.9434924303</v>
      </c>
      <c r="H20" s="39">
        <f t="shared" si="4"/>
        <v>2016962.9564519569</v>
      </c>
    </row>
    <row r="21" spans="2:8">
      <c r="D21" s="34" t="s">
        <v>50</v>
      </c>
      <c r="E21" s="35">
        <v>0.1</v>
      </c>
      <c r="F21" s="39">
        <f t="shared" ref="F21:H21" si="5">$G$9/F15</f>
        <v>1946359.5464275128</v>
      </c>
      <c r="G21" s="39">
        <f t="shared" si="5"/>
        <v>1717025.7502481975</v>
      </c>
      <c r="H21" s="39">
        <f t="shared" si="5"/>
        <v>1509078.6620245259</v>
      </c>
    </row>
    <row r="23" spans="2:8">
      <c r="F23" s="34" t="s">
        <v>57</v>
      </c>
    </row>
    <row r="24" spans="2:8">
      <c r="D24" s="40" t="s">
        <v>58</v>
      </c>
      <c r="F24" s="35">
        <v>0.08</v>
      </c>
      <c r="G24" s="35">
        <v>0.1</v>
      </c>
      <c r="H24" s="35">
        <v>0.12</v>
      </c>
    </row>
    <row r="25" spans="2:8">
      <c r="B25" t="s">
        <v>59</v>
      </c>
      <c r="D25" s="40" t="s">
        <v>48</v>
      </c>
      <c r="E25" s="35">
        <v>0</v>
      </c>
      <c r="F25" s="39">
        <f t="shared" ref="F25:H25" si="6">PMT(F24/12,12,,-F19,)</f>
        <v>289349.59490513901</v>
      </c>
      <c r="G25" s="39">
        <f t="shared" si="6"/>
        <v>244996.58490608734</v>
      </c>
      <c r="H25" s="39">
        <f t="shared" si="6"/>
        <v>206878.68307121616</v>
      </c>
    </row>
    <row r="26" spans="2:8">
      <c r="B26" t="s">
        <v>60</v>
      </c>
      <c r="D26" s="40" t="s">
        <v>49</v>
      </c>
      <c r="E26" s="35">
        <v>0.05</v>
      </c>
      <c r="F26" s="39">
        <f t="shared" ref="F26:H26" si="7">PMT(F24/12,12,,-F20,)</f>
        <v>215591.62987065013</v>
      </c>
      <c r="G26" s="39">
        <f t="shared" si="7"/>
        <v>185485.28218147575</v>
      </c>
      <c r="H26" s="39">
        <f t="shared" si="7"/>
        <v>159035.08592532363</v>
      </c>
    </row>
    <row r="27" spans="2:8">
      <c r="D27" s="40" t="s">
        <v>50</v>
      </c>
      <c r="E27" s="35">
        <v>0.1</v>
      </c>
      <c r="F27" s="39">
        <f t="shared" ref="F27:H27" si="8">PMT(F24/12,12,,-F21,)</f>
        <v>156335.02906962525</v>
      </c>
      <c r="G27" s="39">
        <f t="shared" si="8"/>
        <v>136645.29431110815</v>
      </c>
      <c r="H27" s="39">
        <f t="shared" si="8"/>
        <v>118989.02452096647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/>
  </sheetViews>
  <sheetFormatPr baseColWidth="10" defaultColWidth="10.83203125" defaultRowHeight="15" x14ac:dyDescent="0"/>
  <cols>
    <col min="1" max="2" width="10.83203125" style="1"/>
    <col min="3" max="3" width="26.1640625" style="1" customWidth="1"/>
    <col min="4" max="4" width="11" style="1" customWidth="1"/>
    <col min="5" max="5" width="15" style="1" customWidth="1"/>
    <col min="6" max="6" width="14" style="1" customWidth="1"/>
    <col min="7" max="7" width="15" style="1" customWidth="1"/>
    <col min="8" max="8" width="10.83203125" style="1"/>
    <col min="9" max="9" width="13.5" style="1" bestFit="1" customWidth="1"/>
    <col min="10" max="16384" width="10.83203125" style="1"/>
  </cols>
  <sheetData>
    <row r="1" spans="2:9">
      <c r="D1" s="91" t="s">
        <v>89</v>
      </c>
      <c r="E1" s="46"/>
      <c r="F1" s="46"/>
      <c r="G1" s="46"/>
    </row>
    <row r="2" spans="2:9" ht="25">
      <c r="B2" s="2" t="s">
        <v>61</v>
      </c>
      <c r="H2" s="3"/>
      <c r="I2" s="3"/>
    </row>
    <row r="3" spans="2:9">
      <c r="E3" s="3" t="s">
        <v>62</v>
      </c>
    </row>
    <row r="4" spans="2:9" ht="18">
      <c r="B4" s="4" t="s">
        <v>63</v>
      </c>
      <c r="C4" s="4"/>
      <c r="D4" s="4"/>
      <c r="E4" s="4"/>
      <c r="F4" s="5">
        <f>'Retirement Planning Calculator'!I24</f>
        <v>10.198950887125065</v>
      </c>
      <c r="G4" s="6" t="s">
        <v>25</v>
      </c>
    </row>
    <row r="5" spans="2:9" ht="18">
      <c r="B5" s="7" t="s">
        <v>64</v>
      </c>
      <c r="C5" s="7"/>
      <c r="D5" s="7"/>
      <c r="E5" s="7"/>
      <c r="F5" s="8">
        <f>'Retirement Planning Calculator'!I36</f>
        <v>9.7812260701834983</v>
      </c>
      <c r="G5" s="9" t="s">
        <v>25</v>
      </c>
    </row>
    <row r="6" spans="2:9" ht="18">
      <c r="B6" s="4" t="s">
        <v>65</v>
      </c>
      <c r="C6" s="4"/>
      <c r="D6" s="4"/>
      <c r="E6" s="4"/>
      <c r="F6" s="6">
        <f>'Retirement Planning Calculator'!I6</f>
        <v>15</v>
      </c>
      <c r="G6" s="6" t="s">
        <v>66</v>
      </c>
    </row>
    <row r="8" spans="2:9" ht="18">
      <c r="C8" s="43" t="s">
        <v>67</v>
      </c>
      <c r="D8" s="44"/>
      <c r="E8" s="45" t="s">
        <v>68</v>
      </c>
      <c r="F8" s="45" t="s">
        <v>69</v>
      </c>
      <c r="G8" s="45" t="s">
        <v>70</v>
      </c>
    </row>
    <row r="9" spans="2:9" ht="60" customHeight="1">
      <c r="C9" s="42" t="s">
        <v>71</v>
      </c>
      <c r="D9" s="10"/>
      <c r="E9" s="11" t="s">
        <v>84</v>
      </c>
      <c r="F9" s="12" t="s">
        <v>72</v>
      </c>
      <c r="G9" s="11" t="s">
        <v>83</v>
      </c>
    </row>
    <row r="10" spans="2:9" ht="18">
      <c r="C10" s="13" t="s">
        <v>73</v>
      </c>
      <c r="D10" s="14"/>
      <c r="E10" s="15" t="s">
        <v>74</v>
      </c>
      <c r="F10" s="16"/>
      <c r="G10" s="17"/>
    </row>
    <row r="11" spans="2:9" ht="18">
      <c r="C11" s="18" t="s">
        <v>75</v>
      </c>
      <c r="D11" s="19"/>
      <c r="E11" s="20">
        <v>0.08</v>
      </c>
      <c r="F11" s="20">
        <v>0.1</v>
      </c>
      <c r="G11" s="21">
        <v>0.12</v>
      </c>
    </row>
    <row r="12" spans="2:9" ht="18" customHeight="1">
      <c r="C12" s="22" t="s">
        <v>85</v>
      </c>
      <c r="D12" s="23">
        <v>0</v>
      </c>
      <c r="E12" s="24">
        <f>Sheet1!F25</f>
        <v>289349.59490513901</v>
      </c>
      <c r="F12" s="25">
        <f>Sheet1!G25</f>
        <v>244996.58490608734</v>
      </c>
      <c r="G12" s="26">
        <f>Sheet1!H25</f>
        <v>206878.68307121616</v>
      </c>
      <c r="H12" s="41" t="s">
        <v>86</v>
      </c>
    </row>
    <row r="13" spans="2:9" ht="18">
      <c r="C13" s="22" t="s">
        <v>76</v>
      </c>
      <c r="D13" s="23">
        <v>0.05</v>
      </c>
      <c r="E13" s="25">
        <f>Sheet1!F26</f>
        <v>215591.62987065013</v>
      </c>
      <c r="F13" s="24">
        <f>Sheet1!G26</f>
        <v>185485.28218147575</v>
      </c>
      <c r="G13" s="27">
        <f>Sheet1!H26</f>
        <v>159035.08592532363</v>
      </c>
      <c r="H13" s="41" t="s">
        <v>87</v>
      </c>
    </row>
    <row r="14" spans="2:9" ht="18">
      <c r="C14" s="28" t="s">
        <v>56</v>
      </c>
      <c r="D14" s="29">
        <v>0.1</v>
      </c>
      <c r="E14" s="30">
        <f>Sheet1!F27</f>
        <v>156335.02906962525</v>
      </c>
      <c r="F14" s="31">
        <f>Sheet1!G27</f>
        <v>136645.29431110815</v>
      </c>
      <c r="G14" s="32">
        <f>Sheet1!H27</f>
        <v>118989.02452096647</v>
      </c>
      <c r="H14" s="41" t="s">
        <v>88</v>
      </c>
    </row>
    <row r="17" spans="2:3">
      <c r="B17" s="33" t="s">
        <v>77</v>
      </c>
      <c r="C17" s="1" t="s">
        <v>78</v>
      </c>
    </row>
    <row r="18" spans="2:3">
      <c r="C18" s="1" t="s">
        <v>79</v>
      </c>
    </row>
    <row r="19" spans="2:3">
      <c r="C19" s="1" t="s">
        <v>80</v>
      </c>
    </row>
    <row r="20" spans="2:3">
      <c r="C20" s="1" t="s">
        <v>81</v>
      </c>
    </row>
  </sheetData>
  <sheetProtection sheet="1" objects="1" scenarios="1"/>
  <hyperlinks>
    <hyperlink ref="D1" location="'Retirement Planning Calculator'!A1" display="Click here to go to the  Retirement Planning Input sheet"/>
    <hyperlink ref="E1" location="'Retirement Planning Calculator'!A1" display="'Retirement Planning Calculator'!A1"/>
    <hyperlink ref="F1" location="'Retirement Planning Calculator'!A1" display="'Retirement Planning Calculator'!A1"/>
    <hyperlink ref="G1" location="'Retirement Planning Calculator'!A1" display="'Retirement Planning Calculator'!A1"/>
  </hyperlinks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Retirement Planning Calculator</vt:lpstr>
      <vt:lpstr>Sheet1</vt:lpstr>
      <vt:lpstr>9 Scenarios</vt:lpstr>
    </vt:vector>
  </TitlesOfParts>
  <Company>vipinkhandelwal.com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 Khandelwal</dc:creator>
  <cp:lastModifiedBy>Vipin Khandelwal</cp:lastModifiedBy>
  <dcterms:created xsi:type="dcterms:W3CDTF">2015-11-14T15:22:30Z</dcterms:created>
  <dcterms:modified xsi:type="dcterms:W3CDTF">2017-02-17T03:56:53Z</dcterms:modified>
</cp:coreProperties>
</file>